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995" windowHeight="58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<sst xmlns="http://schemas.openxmlformats.org/spreadsheetml/2006/main" count="68" uniqueCount="55">
  <si>
    <t>Q</t>
  </si>
  <si>
    <t>Precio</t>
  </si>
  <si>
    <t xml:space="preserve">Ingresos </t>
  </si>
  <si>
    <t>Costo de materia prima</t>
  </si>
  <si>
    <t>Azucar</t>
  </si>
  <si>
    <t>Agua</t>
  </si>
  <si>
    <t>Elem Quim</t>
  </si>
  <si>
    <t>Colorantes</t>
  </si>
  <si>
    <t>MOD</t>
  </si>
  <si>
    <t>Energia</t>
  </si>
  <si>
    <t>C/U</t>
  </si>
  <si>
    <t>COP</t>
  </si>
  <si>
    <t xml:space="preserve">Miles de litros </t>
  </si>
  <si>
    <t>Royalty</t>
  </si>
  <si>
    <t>Remuneraciones gerenciales</t>
  </si>
  <si>
    <t>Gastos Administrativos</t>
  </si>
  <si>
    <t>Inversiones</t>
  </si>
  <si>
    <t>Infraestructura</t>
  </si>
  <si>
    <t>Terreno</t>
  </si>
  <si>
    <t>Lineas de Prod</t>
  </si>
  <si>
    <t>Monto</t>
  </si>
  <si>
    <t>VU</t>
  </si>
  <si>
    <t>VR</t>
  </si>
  <si>
    <t>Ano adq.</t>
  </si>
  <si>
    <t>Depreciaciones</t>
  </si>
  <si>
    <t>Valores de desecho</t>
  </si>
  <si>
    <t>VL</t>
  </si>
  <si>
    <t>Flujo de Caja</t>
  </si>
  <si>
    <t>Ingresos Por venta</t>
  </si>
  <si>
    <t>Remuneraciones Adm</t>
  </si>
  <si>
    <t>Depreciacion</t>
  </si>
  <si>
    <t>Maquinarias</t>
  </si>
  <si>
    <t>Maquinarias Nueva</t>
  </si>
  <si>
    <t>Dep/Anual</t>
  </si>
  <si>
    <t>Venta Infraestructura</t>
  </si>
  <si>
    <t>Valor Libros Infraestructura</t>
  </si>
  <si>
    <t>Venta Maquinaria antigua</t>
  </si>
  <si>
    <t>Valor Libros Maquin Antigua</t>
  </si>
  <si>
    <t>Venta Maquinaria nueva</t>
  </si>
  <si>
    <t>Valor Libros Maquin Nueva</t>
  </si>
  <si>
    <t>Vta terreno</t>
  </si>
  <si>
    <t>VL terreno</t>
  </si>
  <si>
    <t>UAI</t>
  </si>
  <si>
    <t>Impuesto 15%</t>
  </si>
  <si>
    <t>UDI</t>
  </si>
  <si>
    <t>Inversion Terreno</t>
  </si>
  <si>
    <t>Inversion Infraestructura</t>
  </si>
  <si>
    <t>Inversion maquina Inicial</t>
  </si>
  <si>
    <t>Inversion Ampliacion</t>
  </si>
  <si>
    <t>Capital de Trabajo</t>
  </si>
  <si>
    <t>Recuperacion de Cap Trab</t>
  </si>
  <si>
    <t>FLUJO NETO</t>
  </si>
  <si>
    <t>VAN</t>
  </si>
  <si>
    <t>TIR</t>
  </si>
  <si>
    <t>VS</t>
  </si>
</sst>
</file>

<file path=xl/styles.xml><?xml version="1.0" encoding="utf-8"?>
<styleSheet xmlns="http://schemas.openxmlformats.org/spreadsheetml/2006/main">
  <numFmts count="11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5" fontId="0" fillId="0" borderId="0" xfId="15" applyNumberFormat="1" applyAlignment="1">
      <alignment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0" xfId="0" applyFill="1" applyAlignment="1">
      <alignment/>
    </xf>
    <xf numFmtId="0" fontId="3" fillId="0" borderId="4" xfId="0" applyFont="1" applyBorder="1" applyAlignment="1">
      <alignment/>
    </xf>
    <xf numFmtId="0" fontId="0" fillId="2" borderId="1" xfId="0" applyFill="1" applyBorder="1" applyAlignment="1">
      <alignment/>
    </xf>
    <xf numFmtId="9" fontId="0" fillId="0" borderId="0" xfId="0" applyNumberFormat="1" applyAlignment="1">
      <alignment/>
    </xf>
    <xf numFmtId="165" fontId="0" fillId="2" borderId="1" xfId="0" applyNumberFormat="1" applyFill="1" applyBorder="1" applyAlignment="1">
      <alignment/>
    </xf>
    <xf numFmtId="0" fontId="2" fillId="2" borderId="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165" fontId="0" fillId="2" borderId="1" xfId="15" applyNumberFormat="1" applyFill="1" applyBorder="1" applyAlignment="1">
      <alignment/>
    </xf>
    <xf numFmtId="165" fontId="5" fillId="2" borderId="1" xfId="15" applyNumberFormat="1" applyFont="1" applyFill="1" applyBorder="1" applyAlignment="1">
      <alignment/>
    </xf>
    <xf numFmtId="165" fontId="0" fillId="2" borderId="1" xfId="15" applyNumberFormat="1" applyFill="1" applyBorder="1" applyAlignment="1">
      <alignment horizontal="right"/>
    </xf>
    <xf numFmtId="165" fontId="5" fillId="0" borderId="0" xfId="15" applyNumberFormat="1" applyFont="1" applyFill="1" applyBorder="1" applyAlignment="1">
      <alignment/>
    </xf>
    <xf numFmtId="165" fontId="0" fillId="2" borderId="6" xfId="0" applyNumberForma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165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9" fontId="2" fillId="0" borderId="1" xfId="19" applyFont="1" applyFill="1" applyBorder="1" applyAlignment="1">
      <alignment horizontal="center"/>
    </xf>
    <xf numFmtId="9" fontId="4" fillId="0" borderId="1" xfId="19" applyFont="1" applyFill="1" applyBorder="1" applyAlignment="1">
      <alignment horizontal="center"/>
    </xf>
    <xf numFmtId="165" fontId="0" fillId="2" borderId="1" xfId="15" applyNumberFormat="1" applyFont="1" applyFill="1" applyBorder="1" applyAlignment="1">
      <alignment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/>
    </xf>
    <xf numFmtId="165" fontId="0" fillId="3" borderId="1" xfId="0" applyNumberFormat="1" applyFill="1" applyBorder="1" applyAlignment="1">
      <alignment/>
    </xf>
    <xf numFmtId="0" fontId="0" fillId="0" borderId="1" xfId="0" applyBorder="1" applyAlignment="1">
      <alignment horizontal="left" indent="2"/>
    </xf>
    <xf numFmtId="165" fontId="0" fillId="0" borderId="1" xfId="15" applyNumberFormat="1" applyBorder="1" applyAlignment="1">
      <alignment horizontal="left" indent="1"/>
    </xf>
    <xf numFmtId="165" fontId="0" fillId="3" borderId="1" xfId="15" applyNumberFormat="1" applyFill="1" applyBorder="1" applyAlignment="1">
      <alignment/>
    </xf>
    <xf numFmtId="10" fontId="0" fillId="0" borderId="0" xfId="19" applyNumberFormat="1" applyAlignment="1">
      <alignment/>
    </xf>
    <xf numFmtId="0" fontId="6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"/>
  <sheetViews>
    <sheetView tabSelected="1" zoomScale="90" zoomScaleNormal="90" workbookViewId="0" topLeftCell="A2">
      <pane ySplit="465" topLeftCell="BM85" activePane="bottomLeft" state="split"/>
      <selection pane="topLeft" activeCell="J1" sqref="J1"/>
      <selection pane="bottomLeft" activeCell="D62" sqref="D62"/>
    </sheetView>
  </sheetViews>
  <sheetFormatPr defaultColWidth="11.421875" defaultRowHeight="12.75"/>
  <cols>
    <col min="1" max="1" width="24.00390625" style="0" customWidth="1"/>
    <col min="2" max="2" width="11.28125" style="0" customWidth="1"/>
    <col min="3" max="5" width="10.28125" style="0" bestFit="1" customWidth="1"/>
    <col min="6" max="6" width="11.8515625" style="0" customWidth="1"/>
    <col min="7" max="8" width="10.28125" style="0" bestFit="1" customWidth="1"/>
    <col min="9" max="9" width="9.8515625" style="0" customWidth="1"/>
    <col min="10" max="10" width="10.28125" style="0" customWidth="1"/>
  </cols>
  <sheetData>
    <row r="1" ht="12.75">
      <c r="B1" s="5" t="s">
        <v>2</v>
      </c>
    </row>
    <row r="2" spans="2:10" ht="12.75">
      <c r="B2" s="2"/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</row>
    <row r="3" spans="2:10" ht="12.75">
      <c r="B3" s="4" t="s">
        <v>0</v>
      </c>
      <c r="C3" s="3">
        <v>350</v>
      </c>
      <c r="D3" s="3">
        <v>280</v>
      </c>
      <c r="E3" s="3">
        <v>280</v>
      </c>
      <c r="F3" s="3">
        <v>280</v>
      </c>
      <c r="G3" s="3">
        <f>F3*1.3</f>
        <v>364</v>
      </c>
      <c r="H3" s="3">
        <v>364</v>
      </c>
      <c r="I3" s="3">
        <f>H3*1.23</f>
        <v>447.71999999999997</v>
      </c>
      <c r="J3" s="3">
        <f>I3</f>
        <v>447.71999999999997</v>
      </c>
    </row>
    <row r="4" spans="2:10" ht="12.75">
      <c r="B4" s="4" t="s">
        <v>1</v>
      </c>
      <c r="C4" s="3">
        <f>450</f>
        <v>450</v>
      </c>
      <c r="D4" s="3">
        <f>C4*1.2</f>
        <v>540</v>
      </c>
      <c r="E4" s="3">
        <f>D4</f>
        <v>540</v>
      </c>
      <c r="F4" s="3">
        <f>E4</f>
        <v>540</v>
      </c>
      <c r="G4" s="3">
        <f>F4</f>
        <v>540</v>
      </c>
      <c r="H4" s="3">
        <f>G4</f>
        <v>540</v>
      </c>
      <c r="I4" s="3">
        <f>H4</f>
        <v>540</v>
      </c>
      <c r="J4" s="3">
        <f>I4</f>
        <v>540</v>
      </c>
    </row>
    <row r="5" spans="2:10" ht="12.75">
      <c r="B5" s="4" t="s">
        <v>2</v>
      </c>
      <c r="C5" s="3">
        <f>C3*C4</f>
        <v>157500</v>
      </c>
      <c r="D5" s="3">
        <f aca="true" t="shared" si="0" ref="D5:J5">D3*D4</f>
        <v>151200</v>
      </c>
      <c r="E5" s="3">
        <f t="shared" si="0"/>
        <v>151200</v>
      </c>
      <c r="F5" s="3">
        <f t="shared" si="0"/>
        <v>151200</v>
      </c>
      <c r="G5" s="3">
        <f t="shared" si="0"/>
        <v>196560</v>
      </c>
      <c r="H5" s="3">
        <f t="shared" si="0"/>
        <v>196560</v>
      </c>
      <c r="I5" s="3">
        <f t="shared" si="0"/>
        <v>241768.8</v>
      </c>
      <c r="J5" s="3">
        <f t="shared" si="0"/>
        <v>241768.8</v>
      </c>
    </row>
    <row r="6" ht="12.75">
      <c r="B6" s="6" t="s">
        <v>12</v>
      </c>
    </row>
    <row r="8" spans="1:2" ht="12.75">
      <c r="A8" s="6" t="s">
        <v>3</v>
      </c>
      <c r="B8" s="11"/>
    </row>
    <row r="10" spans="2:10" ht="12.75">
      <c r="B10" s="10" t="s">
        <v>10</v>
      </c>
      <c r="C10" s="9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s="4">
        <v>7</v>
      </c>
      <c r="J10" s="4">
        <v>8</v>
      </c>
    </row>
    <row r="11" spans="1:10" ht="12.75">
      <c r="A11" s="4" t="s">
        <v>4</v>
      </c>
      <c r="B11" s="12">
        <v>18.6</v>
      </c>
      <c r="C11" s="8">
        <f aca="true" t="shared" si="1" ref="C11:J18">$B11*C$3</f>
        <v>6510.000000000001</v>
      </c>
      <c r="D11" s="7">
        <f t="shared" si="1"/>
        <v>5208</v>
      </c>
      <c r="E11" s="7">
        <f t="shared" si="1"/>
        <v>5208</v>
      </c>
      <c r="F11" s="7">
        <f t="shared" si="1"/>
        <v>5208</v>
      </c>
      <c r="G11" s="7">
        <f t="shared" si="1"/>
        <v>6770.400000000001</v>
      </c>
      <c r="H11" s="7">
        <f t="shared" si="1"/>
        <v>6770.400000000001</v>
      </c>
      <c r="I11" s="7">
        <f t="shared" si="1"/>
        <v>8327.592</v>
      </c>
      <c r="J11" s="7">
        <f t="shared" si="1"/>
        <v>8327.592</v>
      </c>
    </row>
    <row r="12" spans="1:10" ht="12.75">
      <c r="A12" s="4" t="s">
        <v>5</v>
      </c>
      <c r="B12" s="12">
        <v>12.4</v>
      </c>
      <c r="C12" s="8">
        <f t="shared" si="1"/>
        <v>4340</v>
      </c>
      <c r="D12" s="7">
        <f t="shared" si="1"/>
        <v>3472</v>
      </c>
      <c r="E12" s="7">
        <f t="shared" si="1"/>
        <v>3472</v>
      </c>
      <c r="F12" s="7">
        <f t="shared" si="1"/>
        <v>3472</v>
      </c>
      <c r="G12" s="7">
        <f t="shared" si="1"/>
        <v>4513.6</v>
      </c>
      <c r="H12" s="7">
        <f t="shared" si="1"/>
        <v>4513.6</v>
      </c>
      <c r="I12" s="7">
        <f t="shared" si="1"/>
        <v>5551.728</v>
      </c>
      <c r="J12" s="7">
        <f t="shared" si="1"/>
        <v>5551.728</v>
      </c>
    </row>
    <row r="13" spans="1:10" ht="12.75">
      <c r="A13" s="4" t="s">
        <v>6</v>
      </c>
      <c r="B13" s="12">
        <v>35.8</v>
      </c>
      <c r="C13" s="8">
        <f t="shared" si="1"/>
        <v>12529.999999999998</v>
      </c>
      <c r="D13" s="7">
        <f t="shared" si="1"/>
        <v>10024</v>
      </c>
      <c r="E13" s="7">
        <f t="shared" si="1"/>
        <v>10024</v>
      </c>
      <c r="F13" s="7">
        <f t="shared" si="1"/>
        <v>10024</v>
      </c>
      <c r="G13" s="7">
        <f t="shared" si="1"/>
        <v>13031.199999999999</v>
      </c>
      <c r="H13" s="7">
        <f t="shared" si="1"/>
        <v>13031.199999999999</v>
      </c>
      <c r="I13" s="7">
        <f t="shared" si="1"/>
        <v>16028.375999999998</v>
      </c>
      <c r="J13" s="7">
        <f t="shared" si="1"/>
        <v>16028.375999999998</v>
      </c>
    </row>
    <row r="14" spans="1:10" ht="12.75">
      <c r="A14" s="4" t="s">
        <v>7</v>
      </c>
      <c r="B14" s="12">
        <v>25.5</v>
      </c>
      <c r="C14" s="8">
        <f t="shared" si="1"/>
        <v>8925</v>
      </c>
      <c r="D14" s="7">
        <f t="shared" si="1"/>
        <v>7140</v>
      </c>
      <c r="E14" s="7">
        <f t="shared" si="1"/>
        <v>7140</v>
      </c>
      <c r="F14" s="7">
        <f t="shared" si="1"/>
        <v>7140</v>
      </c>
      <c r="G14" s="7">
        <f t="shared" si="1"/>
        <v>9282</v>
      </c>
      <c r="H14" s="7">
        <f t="shared" si="1"/>
        <v>9282</v>
      </c>
      <c r="I14" s="7">
        <f t="shared" si="1"/>
        <v>11416.859999999999</v>
      </c>
      <c r="J14" s="7">
        <f t="shared" si="1"/>
        <v>11416.859999999999</v>
      </c>
    </row>
    <row r="15" spans="1:2" ht="12.75">
      <c r="A15" s="4"/>
      <c r="B15" s="12"/>
    </row>
    <row r="16" spans="1:10" ht="12.75">
      <c r="A16" s="4" t="s">
        <v>8</v>
      </c>
      <c r="B16" s="12">
        <v>115.6</v>
      </c>
      <c r="C16" s="8">
        <f t="shared" si="1"/>
        <v>40460</v>
      </c>
      <c r="D16" s="7">
        <f t="shared" si="1"/>
        <v>32368</v>
      </c>
      <c r="E16" s="7">
        <f t="shared" si="1"/>
        <v>32368</v>
      </c>
      <c r="F16" s="7">
        <f t="shared" si="1"/>
        <v>32368</v>
      </c>
      <c r="G16" s="7">
        <f t="shared" si="1"/>
        <v>42078.4</v>
      </c>
      <c r="H16" s="7">
        <f t="shared" si="1"/>
        <v>42078.4</v>
      </c>
      <c r="I16" s="7">
        <f t="shared" si="1"/>
        <v>51756.43199999999</v>
      </c>
      <c r="J16" s="7">
        <f t="shared" si="1"/>
        <v>51756.43199999999</v>
      </c>
    </row>
    <row r="17" spans="1:2" ht="12.75">
      <c r="A17" s="4"/>
      <c r="B17" s="12"/>
    </row>
    <row r="18" spans="1:10" ht="12.75">
      <c r="A18" s="4" t="s">
        <v>9</v>
      </c>
      <c r="B18" s="12">
        <v>18</v>
      </c>
      <c r="C18" s="8">
        <f t="shared" si="1"/>
        <v>6300</v>
      </c>
      <c r="D18" s="7">
        <f t="shared" si="1"/>
        <v>5040</v>
      </c>
      <c r="E18" s="7">
        <f t="shared" si="1"/>
        <v>5040</v>
      </c>
      <c r="F18" s="7">
        <f t="shared" si="1"/>
        <v>5040</v>
      </c>
      <c r="G18" s="7">
        <f t="shared" si="1"/>
        <v>6552</v>
      </c>
      <c r="H18" s="7">
        <f t="shared" si="1"/>
        <v>6552</v>
      </c>
      <c r="I18" s="7">
        <f t="shared" si="1"/>
        <v>8058.959999999999</v>
      </c>
      <c r="J18" s="7">
        <f t="shared" si="1"/>
        <v>8058.959999999999</v>
      </c>
    </row>
    <row r="20" spans="1:10" ht="12.75">
      <c r="A20" s="4" t="s">
        <v>11</v>
      </c>
      <c r="B20" s="13"/>
      <c r="C20" s="15">
        <f>SUM(C11:C18)</f>
        <v>79065</v>
      </c>
      <c r="D20" s="15">
        <f aca="true" t="shared" si="2" ref="D20:J20">SUM(D11:D18)</f>
        <v>63252</v>
      </c>
      <c r="E20" s="15">
        <f t="shared" si="2"/>
        <v>63252</v>
      </c>
      <c r="F20" s="15">
        <f t="shared" si="2"/>
        <v>63252</v>
      </c>
      <c r="G20" s="15">
        <f t="shared" si="2"/>
        <v>82227.6</v>
      </c>
      <c r="H20" s="15">
        <f t="shared" si="2"/>
        <v>82227.6</v>
      </c>
      <c r="I20" s="15">
        <f t="shared" si="2"/>
        <v>101139.94799999997</v>
      </c>
      <c r="J20" s="15">
        <f t="shared" si="2"/>
        <v>101139.94799999997</v>
      </c>
    </row>
    <row r="23" ht="12.75">
      <c r="A23" s="5" t="s">
        <v>13</v>
      </c>
    </row>
    <row r="24" spans="1:10" ht="12.75">
      <c r="A24" s="26"/>
      <c r="B24" s="27">
        <v>0.05</v>
      </c>
      <c r="C24" s="25">
        <f>$B24*C$5</f>
        <v>7875</v>
      </c>
      <c r="D24" s="25">
        <f aca="true" t="shared" si="3" ref="D24:J25">$B24*D$5</f>
        <v>7560</v>
      </c>
      <c r="E24" s="25">
        <f t="shared" si="3"/>
        <v>7560</v>
      </c>
      <c r="F24" s="26"/>
      <c r="G24" s="26"/>
      <c r="H24" s="26"/>
      <c r="I24" s="26"/>
      <c r="J24" s="26"/>
    </row>
    <row r="25" spans="1:10" ht="12.75">
      <c r="A25" s="26"/>
      <c r="B25" s="28">
        <v>0.03</v>
      </c>
      <c r="C25" s="26"/>
      <c r="D25" s="26"/>
      <c r="E25" s="26"/>
      <c r="F25" s="25">
        <f t="shared" si="3"/>
        <v>4536</v>
      </c>
      <c r="G25" s="25">
        <f t="shared" si="3"/>
        <v>5896.8</v>
      </c>
      <c r="H25" s="25">
        <f t="shared" si="3"/>
        <v>5896.8</v>
      </c>
      <c r="I25" s="25">
        <f t="shared" si="3"/>
        <v>7253.063999999999</v>
      </c>
      <c r="J25" s="25">
        <f t="shared" si="3"/>
        <v>7253.063999999999</v>
      </c>
    </row>
    <row r="26" spans="3:10" ht="12.75">
      <c r="C26" s="15">
        <f>SUM(C24:C25)</f>
        <v>7875</v>
      </c>
      <c r="D26" s="15">
        <f aca="true" t="shared" si="4" ref="D26:J26">SUM(D24:D25)</f>
        <v>7560</v>
      </c>
      <c r="E26" s="15">
        <f t="shared" si="4"/>
        <v>7560</v>
      </c>
      <c r="F26" s="15">
        <f t="shared" si="4"/>
        <v>4536</v>
      </c>
      <c r="G26" s="15">
        <f t="shared" si="4"/>
        <v>5896.8</v>
      </c>
      <c r="H26" s="15">
        <f t="shared" si="4"/>
        <v>5896.8</v>
      </c>
      <c r="I26" s="15">
        <f t="shared" si="4"/>
        <v>7253.063999999999</v>
      </c>
      <c r="J26" s="15">
        <f t="shared" si="4"/>
        <v>7253.063999999999</v>
      </c>
    </row>
    <row r="28" spans="1:10" ht="38.25" customHeight="1">
      <c r="A28" s="16" t="s">
        <v>14</v>
      </c>
      <c r="B28" s="17"/>
      <c r="C28" s="19">
        <f>(800+580+600+550)*12</f>
        <v>30360</v>
      </c>
      <c r="D28" s="19">
        <f aca="true" t="shared" si="5" ref="D28:J28">(800+580+600+550)*12</f>
        <v>30360</v>
      </c>
      <c r="E28" s="19">
        <f t="shared" si="5"/>
        <v>30360</v>
      </c>
      <c r="F28" s="19">
        <f t="shared" si="5"/>
        <v>30360</v>
      </c>
      <c r="G28" s="19">
        <f t="shared" si="5"/>
        <v>30360</v>
      </c>
      <c r="H28" s="19">
        <f t="shared" si="5"/>
        <v>30360</v>
      </c>
      <c r="I28" s="19">
        <f t="shared" si="5"/>
        <v>30360</v>
      </c>
      <c r="J28" s="19">
        <f t="shared" si="5"/>
        <v>30360</v>
      </c>
    </row>
    <row r="29" spans="3:10" ht="12.75">
      <c r="C29" s="1"/>
      <c r="D29" s="1"/>
      <c r="E29" s="1"/>
      <c r="F29" s="1"/>
      <c r="G29" s="1"/>
      <c r="H29" s="1"/>
      <c r="I29" s="1"/>
      <c r="J29" s="1"/>
    </row>
    <row r="30" spans="3:10" ht="12.75">
      <c r="C30" s="1"/>
      <c r="D30" s="1"/>
      <c r="E30" s="1"/>
      <c r="F30" s="1"/>
      <c r="G30" s="1"/>
      <c r="H30" s="1"/>
      <c r="I30" s="1"/>
      <c r="J30" s="1"/>
    </row>
    <row r="31" spans="1:10" ht="12.75">
      <c r="A31" s="18" t="s">
        <v>15</v>
      </c>
      <c r="B31" s="18"/>
      <c r="C31" s="19">
        <f>300*12</f>
        <v>3600</v>
      </c>
      <c r="D31" s="19">
        <f aca="true" t="shared" si="6" ref="D31:J31">300*12</f>
        <v>3600</v>
      </c>
      <c r="E31" s="19">
        <f t="shared" si="6"/>
        <v>3600</v>
      </c>
      <c r="F31" s="19">
        <f t="shared" si="6"/>
        <v>3600</v>
      </c>
      <c r="G31" s="19">
        <f t="shared" si="6"/>
        <v>3600</v>
      </c>
      <c r="H31" s="19">
        <f t="shared" si="6"/>
        <v>3600</v>
      </c>
      <c r="I31" s="19">
        <f t="shared" si="6"/>
        <v>3600</v>
      </c>
      <c r="J31" s="19">
        <f t="shared" si="6"/>
        <v>3600</v>
      </c>
    </row>
    <row r="34" ht="12.75">
      <c r="A34" s="5" t="s">
        <v>16</v>
      </c>
    </row>
    <row r="35" spans="1:6" ht="12.75">
      <c r="A35" s="3"/>
      <c r="B35" s="19" t="s">
        <v>20</v>
      </c>
      <c r="C35" s="19" t="s">
        <v>23</v>
      </c>
      <c r="D35" s="21" t="s">
        <v>21</v>
      </c>
      <c r="E35" s="21" t="s">
        <v>22</v>
      </c>
      <c r="F35" s="29" t="s">
        <v>33</v>
      </c>
    </row>
    <row r="36" spans="1:6" ht="12.75">
      <c r="A36" s="20" t="s">
        <v>17</v>
      </c>
      <c r="B36" s="3">
        <v>35000</v>
      </c>
      <c r="C36" s="3">
        <v>0</v>
      </c>
      <c r="D36" s="3">
        <v>20</v>
      </c>
      <c r="E36" s="3"/>
      <c r="F36" s="3">
        <f>(B36-E36)/D36</f>
        <v>1750</v>
      </c>
    </row>
    <row r="37" spans="1:6" ht="12.75">
      <c r="A37" s="20" t="s">
        <v>18</v>
      </c>
      <c r="B37" s="3">
        <v>5000</v>
      </c>
      <c r="C37" s="3">
        <v>0</v>
      </c>
      <c r="D37" s="3"/>
      <c r="E37" s="3">
        <f>B37</f>
        <v>5000</v>
      </c>
      <c r="F37" s="3"/>
    </row>
    <row r="38" spans="1:6" ht="12.75">
      <c r="A38" s="20" t="s">
        <v>19</v>
      </c>
      <c r="B38" s="3">
        <f>2*8000</f>
        <v>16000</v>
      </c>
      <c r="C38" s="3">
        <v>0</v>
      </c>
      <c r="D38" s="3">
        <v>10</v>
      </c>
      <c r="E38" s="3"/>
      <c r="F38" s="3">
        <f>(B38-E38)/D38</f>
        <v>1600</v>
      </c>
    </row>
    <row r="39" spans="1:6" ht="12.75">
      <c r="A39" s="20" t="s">
        <v>19</v>
      </c>
      <c r="B39" s="3">
        <v>8000</v>
      </c>
      <c r="C39" s="3">
        <v>6</v>
      </c>
      <c r="D39" s="3">
        <v>10</v>
      </c>
      <c r="E39" s="3"/>
      <c r="F39" s="3">
        <f>B39/10</f>
        <v>800</v>
      </c>
    </row>
    <row r="40" ht="12.75">
      <c r="C40" s="1"/>
    </row>
    <row r="41" ht="12.75">
      <c r="A41" s="22" t="s">
        <v>24</v>
      </c>
    </row>
    <row r="42" spans="2:10" ht="12.75">
      <c r="B42" s="13"/>
      <c r="C42" s="13">
        <v>1</v>
      </c>
      <c r="D42" s="13">
        <v>2</v>
      </c>
      <c r="E42" s="13">
        <v>3</v>
      </c>
      <c r="F42" s="13">
        <v>4</v>
      </c>
      <c r="G42" s="13">
        <v>5</v>
      </c>
      <c r="H42" s="13">
        <v>6</v>
      </c>
      <c r="I42" s="13">
        <v>7</v>
      </c>
      <c r="J42" s="13">
        <v>8</v>
      </c>
    </row>
    <row r="43" spans="1:10" ht="12.75">
      <c r="A43" s="20" t="s">
        <v>17</v>
      </c>
      <c r="B43" s="2"/>
      <c r="C43" s="7">
        <f>F36</f>
        <v>1750</v>
      </c>
      <c r="D43" s="7">
        <f>C43</f>
        <v>1750</v>
      </c>
      <c r="E43" s="7">
        <f aca="true" t="shared" si="7" ref="E43:J43">D43</f>
        <v>1750</v>
      </c>
      <c r="F43" s="7">
        <f t="shared" si="7"/>
        <v>1750</v>
      </c>
      <c r="G43" s="7">
        <f t="shared" si="7"/>
        <v>1750</v>
      </c>
      <c r="H43" s="7">
        <f t="shared" si="7"/>
        <v>1750</v>
      </c>
      <c r="I43" s="7">
        <f t="shared" si="7"/>
        <v>1750</v>
      </c>
      <c r="J43" s="7">
        <f t="shared" si="7"/>
        <v>1750</v>
      </c>
    </row>
    <row r="44" spans="1:10" ht="12.75">
      <c r="A44" s="20" t="s">
        <v>19</v>
      </c>
      <c r="B44" s="2"/>
      <c r="C44" s="7">
        <f>F38</f>
        <v>1600</v>
      </c>
      <c r="D44" s="7">
        <f>C44</f>
        <v>1600</v>
      </c>
      <c r="E44" s="7">
        <f aca="true" t="shared" si="8" ref="E44:J44">D44</f>
        <v>1600</v>
      </c>
      <c r="F44" s="7">
        <f t="shared" si="8"/>
        <v>1600</v>
      </c>
      <c r="G44" s="7">
        <f t="shared" si="8"/>
        <v>1600</v>
      </c>
      <c r="H44" s="7">
        <f t="shared" si="8"/>
        <v>1600</v>
      </c>
      <c r="I44" s="7">
        <f t="shared" si="8"/>
        <v>1600</v>
      </c>
      <c r="J44" s="7">
        <f t="shared" si="8"/>
        <v>1600</v>
      </c>
    </row>
    <row r="45" spans="1:10" ht="12.75">
      <c r="A45" s="20" t="s">
        <v>19</v>
      </c>
      <c r="B45" s="2"/>
      <c r="C45" s="2"/>
      <c r="D45" s="2"/>
      <c r="E45" s="2"/>
      <c r="F45" s="2"/>
      <c r="G45" s="2"/>
      <c r="H45" s="2"/>
      <c r="I45" s="7">
        <f>F39</f>
        <v>800</v>
      </c>
      <c r="J45" s="7">
        <f>I45</f>
        <v>800</v>
      </c>
    </row>
    <row r="46" spans="3:10" ht="12.75">
      <c r="C46" s="23">
        <f>SUM(C43:C45)</f>
        <v>3350</v>
      </c>
      <c r="D46" s="23">
        <f aca="true" t="shared" si="9" ref="D46:J46">SUM(D43:D45)</f>
        <v>3350</v>
      </c>
      <c r="E46" s="23">
        <f t="shared" si="9"/>
        <v>3350</v>
      </c>
      <c r="F46" s="23">
        <f t="shared" si="9"/>
        <v>3350</v>
      </c>
      <c r="G46" s="23">
        <f t="shared" si="9"/>
        <v>3350</v>
      </c>
      <c r="H46" s="23">
        <f t="shared" si="9"/>
        <v>3350</v>
      </c>
      <c r="I46" s="23">
        <f t="shared" si="9"/>
        <v>4150</v>
      </c>
      <c r="J46" s="23">
        <f t="shared" si="9"/>
        <v>4150</v>
      </c>
    </row>
    <row r="49" ht="12.75">
      <c r="A49" s="5" t="s">
        <v>25</v>
      </c>
    </row>
    <row r="50" spans="2:3" ht="12.75">
      <c r="B50" s="24" t="s">
        <v>54</v>
      </c>
      <c r="C50" s="24" t="s">
        <v>26</v>
      </c>
    </row>
    <row r="51" spans="1:3" ht="12.75">
      <c r="A51" s="20" t="s">
        <v>17</v>
      </c>
      <c r="B51" s="3">
        <f>0.35*B36</f>
        <v>12250</v>
      </c>
      <c r="C51" s="7">
        <f>B36-F36*8</f>
        <v>21000</v>
      </c>
    </row>
    <row r="52" spans="1:3" ht="12.75">
      <c r="A52" s="20" t="s">
        <v>18</v>
      </c>
      <c r="B52" s="3">
        <v>5000</v>
      </c>
      <c r="C52" s="7">
        <f>B37</f>
        <v>5000</v>
      </c>
    </row>
    <row r="53" spans="1:3" ht="12.75">
      <c r="A53" s="20" t="s">
        <v>19</v>
      </c>
      <c r="B53" s="3">
        <f>0.35*B38</f>
        <v>5600</v>
      </c>
      <c r="C53" s="7">
        <f>B38-F38*8</f>
        <v>3200</v>
      </c>
    </row>
    <row r="54" spans="1:3" ht="12.75">
      <c r="A54" s="20" t="s">
        <v>19</v>
      </c>
      <c r="B54" s="3">
        <f>B39*0.35</f>
        <v>2800</v>
      </c>
      <c r="C54" s="7">
        <f>B39-F39*2</f>
        <v>6400</v>
      </c>
    </row>
    <row r="58" ht="12.75">
      <c r="A58" s="5" t="s">
        <v>27</v>
      </c>
    </row>
    <row r="59" spans="2:10" ht="12.75">
      <c r="B59" s="13">
        <v>0</v>
      </c>
      <c r="C59" s="13">
        <v>1</v>
      </c>
      <c r="D59" s="13">
        <v>2</v>
      </c>
      <c r="E59" s="13">
        <v>3</v>
      </c>
      <c r="F59" s="13">
        <v>4</v>
      </c>
      <c r="G59" s="13">
        <v>5</v>
      </c>
      <c r="H59" s="13">
        <v>6</v>
      </c>
      <c r="I59" s="13">
        <v>7</v>
      </c>
      <c r="J59" s="13">
        <v>8</v>
      </c>
    </row>
    <row r="60" spans="1:10" ht="12.75">
      <c r="A60" s="2" t="s">
        <v>28</v>
      </c>
      <c r="B60" s="2"/>
      <c r="C60" s="7">
        <f>C5</f>
        <v>157500</v>
      </c>
      <c r="D60" s="7">
        <f aca="true" t="shared" si="10" ref="D60:J60">D5</f>
        <v>151200</v>
      </c>
      <c r="E60" s="7">
        <f t="shared" si="10"/>
        <v>151200</v>
      </c>
      <c r="F60" s="7">
        <f t="shared" si="10"/>
        <v>151200</v>
      </c>
      <c r="G60" s="7">
        <f t="shared" si="10"/>
        <v>196560</v>
      </c>
      <c r="H60" s="7">
        <f t="shared" si="10"/>
        <v>196560</v>
      </c>
      <c r="I60" s="7">
        <f t="shared" si="10"/>
        <v>241768.8</v>
      </c>
      <c r="J60" s="7">
        <f t="shared" si="10"/>
        <v>241768.8</v>
      </c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 t="s">
        <v>11</v>
      </c>
      <c r="B62" s="2"/>
      <c r="C62" s="7">
        <f>-C20</f>
        <v>-79065</v>
      </c>
      <c r="D62" s="7">
        <f aca="true" t="shared" si="11" ref="D62:J62">-D20</f>
        <v>-63252</v>
      </c>
      <c r="E62" s="7">
        <f t="shared" si="11"/>
        <v>-63252</v>
      </c>
      <c r="F62" s="7">
        <f t="shared" si="11"/>
        <v>-63252</v>
      </c>
      <c r="G62" s="7">
        <f t="shared" si="11"/>
        <v>-82227.6</v>
      </c>
      <c r="H62" s="7">
        <f t="shared" si="11"/>
        <v>-82227.6</v>
      </c>
      <c r="I62" s="7">
        <f t="shared" si="11"/>
        <v>-101139.94799999997</v>
      </c>
      <c r="J62" s="7">
        <f t="shared" si="11"/>
        <v>-101139.94799999997</v>
      </c>
    </row>
    <row r="63" spans="1:10" ht="12.75">
      <c r="A63" s="2" t="s">
        <v>13</v>
      </c>
      <c r="B63" s="2"/>
      <c r="C63" s="7">
        <f>-C26</f>
        <v>-7875</v>
      </c>
      <c r="D63" s="7">
        <f aca="true" t="shared" si="12" ref="D63:J63">-D26</f>
        <v>-7560</v>
      </c>
      <c r="E63" s="7">
        <f t="shared" si="12"/>
        <v>-7560</v>
      </c>
      <c r="F63" s="7">
        <f t="shared" si="12"/>
        <v>-4536</v>
      </c>
      <c r="G63" s="7">
        <f t="shared" si="12"/>
        <v>-5896.8</v>
      </c>
      <c r="H63" s="7">
        <f t="shared" si="12"/>
        <v>-5896.8</v>
      </c>
      <c r="I63" s="7">
        <f t="shared" si="12"/>
        <v>-7253.063999999999</v>
      </c>
      <c r="J63" s="7">
        <f t="shared" si="12"/>
        <v>-7253.063999999999</v>
      </c>
    </row>
    <row r="64" spans="1:10" ht="12.75">
      <c r="A64" s="2" t="s">
        <v>29</v>
      </c>
      <c r="B64" s="2"/>
      <c r="C64" s="7">
        <f>-C28</f>
        <v>-30360</v>
      </c>
      <c r="D64" s="7">
        <f aca="true" t="shared" si="13" ref="D64:J64">-D28</f>
        <v>-30360</v>
      </c>
      <c r="E64" s="7">
        <f t="shared" si="13"/>
        <v>-30360</v>
      </c>
      <c r="F64" s="7">
        <f t="shared" si="13"/>
        <v>-30360</v>
      </c>
      <c r="G64" s="7">
        <f t="shared" si="13"/>
        <v>-30360</v>
      </c>
      <c r="H64" s="7">
        <f t="shared" si="13"/>
        <v>-30360</v>
      </c>
      <c r="I64" s="7">
        <f t="shared" si="13"/>
        <v>-30360</v>
      </c>
      <c r="J64" s="7">
        <f t="shared" si="13"/>
        <v>-30360</v>
      </c>
    </row>
    <row r="65" spans="1:10" ht="12.75">
      <c r="A65" s="2" t="s">
        <v>15</v>
      </c>
      <c r="B65" s="2"/>
      <c r="C65" s="3">
        <f>-C31</f>
        <v>-3600</v>
      </c>
      <c r="D65" s="3">
        <f aca="true" t="shared" si="14" ref="D65:J65">-D31</f>
        <v>-3600</v>
      </c>
      <c r="E65" s="3">
        <f t="shared" si="14"/>
        <v>-3600</v>
      </c>
      <c r="F65" s="3">
        <f t="shared" si="14"/>
        <v>-3600</v>
      </c>
      <c r="G65" s="3">
        <f t="shared" si="14"/>
        <v>-3600</v>
      </c>
      <c r="H65" s="3">
        <f t="shared" si="14"/>
        <v>-3600</v>
      </c>
      <c r="I65" s="3">
        <f t="shared" si="14"/>
        <v>-3600</v>
      </c>
      <c r="J65" s="3">
        <f t="shared" si="14"/>
        <v>-3600</v>
      </c>
    </row>
    <row r="66" spans="1:10" ht="12.75">
      <c r="A66" s="2" t="s">
        <v>30</v>
      </c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30" t="s">
        <v>17</v>
      </c>
      <c r="B67" s="2"/>
      <c r="C67" s="7">
        <f>-C43</f>
        <v>-1750</v>
      </c>
      <c r="D67" s="7">
        <f aca="true" t="shared" si="15" ref="D67:J67">-D43</f>
        <v>-1750</v>
      </c>
      <c r="E67" s="7">
        <f t="shared" si="15"/>
        <v>-1750</v>
      </c>
      <c r="F67" s="7">
        <f t="shared" si="15"/>
        <v>-1750</v>
      </c>
      <c r="G67" s="7">
        <f t="shared" si="15"/>
        <v>-1750</v>
      </c>
      <c r="H67" s="7">
        <f t="shared" si="15"/>
        <v>-1750</v>
      </c>
      <c r="I67" s="7">
        <f t="shared" si="15"/>
        <v>-1750</v>
      </c>
      <c r="J67" s="7">
        <f t="shared" si="15"/>
        <v>-1750</v>
      </c>
    </row>
    <row r="68" spans="1:10" ht="12.75">
      <c r="A68" s="30" t="s">
        <v>31</v>
      </c>
      <c r="B68" s="2"/>
      <c r="C68" s="7">
        <f>-C44</f>
        <v>-1600</v>
      </c>
      <c r="D68" s="7">
        <f aca="true" t="shared" si="16" ref="D68:J68">-D44</f>
        <v>-1600</v>
      </c>
      <c r="E68" s="7">
        <f t="shared" si="16"/>
        <v>-1600</v>
      </c>
      <c r="F68" s="7">
        <f t="shared" si="16"/>
        <v>-1600</v>
      </c>
      <c r="G68" s="7">
        <f t="shared" si="16"/>
        <v>-1600</v>
      </c>
      <c r="H68" s="7">
        <f t="shared" si="16"/>
        <v>-1600</v>
      </c>
      <c r="I68" s="7">
        <f t="shared" si="16"/>
        <v>-1600</v>
      </c>
      <c r="J68" s="7">
        <f t="shared" si="16"/>
        <v>-1600</v>
      </c>
    </row>
    <row r="69" spans="1:10" ht="12.75">
      <c r="A69" s="30" t="s">
        <v>32</v>
      </c>
      <c r="B69" s="2"/>
      <c r="C69" s="2">
        <f>-C45</f>
        <v>0</v>
      </c>
      <c r="D69" s="2">
        <f aca="true" t="shared" si="17" ref="D69:J69">-D45</f>
        <v>0</v>
      </c>
      <c r="E69" s="2">
        <f t="shared" si="17"/>
        <v>0</v>
      </c>
      <c r="F69" s="2">
        <f t="shared" si="17"/>
        <v>0</v>
      </c>
      <c r="G69" s="2">
        <f t="shared" si="17"/>
        <v>0</v>
      </c>
      <c r="H69" s="2">
        <f t="shared" si="17"/>
        <v>0</v>
      </c>
      <c r="I69" s="7">
        <f t="shared" si="17"/>
        <v>-800</v>
      </c>
      <c r="J69" s="7">
        <f t="shared" si="17"/>
        <v>-800</v>
      </c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31" t="s">
        <v>34</v>
      </c>
      <c r="B71" s="2"/>
      <c r="C71" s="2"/>
      <c r="D71" s="2"/>
      <c r="E71" s="2"/>
      <c r="F71" s="2"/>
      <c r="G71" s="2"/>
      <c r="H71" s="2"/>
      <c r="I71" s="2"/>
      <c r="J71" s="7">
        <f>B51</f>
        <v>12250</v>
      </c>
    </row>
    <row r="72" spans="1:10" ht="12.75">
      <c r="A72" s="31" t="s">
        <v>35</v>
      </c>
      <c r="B72" s="2"/>
      <c r="C72" s="2"/>
      <c r="D72" s="2"/>
      <c r="E72" s="2"/>
      <c r="F72" s="2"/>
      <c r="G72" s="2"/>
      <c r="H72" s="2"/>
      <c r="I72" s="2"/>
      <c r="J72" s="7">
        <f>-C51</f>
        <v>-21000</v>
      </c>
    </row>
    <row r="73" spans="1:10" ht="12.75">
      <c r="A73" s="2" t="s">
        <v>36</v>
      </c>
      <c r="B73" s="2"/>
      <c r="C73" s="2"/>
      <c r="D73" s="2"/>
      <c r="E73" s="2"/>
      <c r="F73" s="2"/>
      <c r="G73" s="2"/>
      <c r="H73" s="2"/>
      <c r="I73" s="2"/>
      <c r="J73" s="7">
        <f>B53</f>
        <v>5600</v>
      </c>
    </row>
    <row r="74" spans="1:10" ht="12.75">
      <c r="A74" s="38" t="s">
        <v>37</v>
      </c>
      <c r="B74" s="2"/>
      <c r="C74" s="2"/>
      <c r="D74" s="2"/>
      <c r="E74" s="2"/>
      <c r="F74" s="2"/>
      <c r="G74" s="2"/>
      <c r="H74" s="2"/>
      <c r="I74" s="2"/>
      <c r="J74" s="7">
        <f>-C53</f>
        <v>-3200</v>
      </c>
    </row>
    <row r="75" spans="1:10" ht="12.75">
      <c r="A75" s="2" t="s">
        <v>38</v>
      </c>
      <c r="B75" s="2"/>
      <c r="C75" s="2"/>
      <c r="D75" s="2"/>
      <c r="E75" s="2"/>
      <c r="F75" s="2"/>
      <c r="G75" s="2"/>
      <c r="H75" s="2"/>
      <c r="I75" s="2"/>
      <c r="J75" s="7">
        <f>B54</f>
        <v>2800</v>
      </c>
    </row>
    <row r="76" spans="1:10" ht="12.75">
      <c r="A76" s="2" t="s">
        <v>39</v>
      </c>
      <c r="B76" s="2"/>
      <c r="C76" s="2"/>
      <c r="D76" s="2"/>
      <c r="E76" s="2"/>
      <c r="F76" s="2"/>
      <c r="G76" s="2"/>
      <c r="H76" s="2"/>
      <c r="I76" s="2"/>
      <c r="J76" s="7">
        <f>-C54</f>
        <v>-6400</v>
      </c>
    </row>
    <row r="77" spans="1:10" ht="12.75">
      <c r="A77" s="2" t="s">
        <v>40</v>
      </c>
      <c r="B77" s="2"/>
      <c r="C77" s="2"/>
      <c r="D77" s="2"/>
      <c r="E77" s="2"/>
      <c r="F77" s="2"/>
      <c r="G77" s="2"/>
      <c r="H77" s="2"/>
      <c r="I77" s="2"/>
      <c r="J77" s="7">
        <f>B52</f>
        <v>5000</v>
      </c>
    </row>
    <row r="78" spans="1:10" ht="12.75">
      <c r="A78" s="2" t="s">
        <v>41</v>
      </c>
      <c r="B78" s="2"/>
      <c r="C78" s="2"/>
      <c r="D78" s="2"/>
      <c r="E78" s="2"/>
      <c r="F78" s="2"/>
      <c r="G78" s="2"/>
      <c r="H78" s="2"/>
      <c r="I78" s="2"/>
      <c r="J78" s="7">
        <f>-C52</f>
        <v>-5000</v>
      </c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32" t="s">
        <v>42</v>
      </c>
      <c r="B80" s="32"/>
      <c r="C80" s="33">
        <f>SUM(C60:C79)</f>
        <v>33250</v>
      </c>
      <c r="D80" s="33">
        <f aca="true" t="shared" si="18" ref="D80:J80">SUM(D60:D79)</f>
        <v>43078</v>
      </c>
      <c r="E80" s="33">
        <f t="shared" si="18"/>
        <v>43078</v>
      </c>
      <c r="F80" s="33">
        <f t="shared" si="18"/>
        <v>46102</v>
      </c>
      <c r="G80" s="33">
        <f t="shared" si="18"/>
        <v>71125.59999999999</v>
      </c>
      <c r="H80" s="33">
        <f t="shared" si="18"/>
        <v>71125.59999999999</v>
      </c>
      <c r="I80" s="33">
        <f t="shared" si="18"/>
        <v>95265.788</v>
      </c>
      <c r="J80" s="33">
        <f>SUM(J60:J78)</f>
        <v>85315.788</v>
      </c>
    </row>
    <row r="81" spans="1:10" ht="12.75">
      <c r="A81" s="2" t="s">
        <v>43</v>
      </c>
      <c r="B81" s="2"/>
      <c r="C81" s="3">
        <f>0.15*C80</f>
        <v>4987.5</v>
      </c>
      <c r="D81" s="3">
        <f aca="true" t="shared" si="19" ref="D81:J81">0.15*D80</f>
        <v>6461.7</v>
      </c>
      <c r="E81" s="3">
        <f t="shared" si="19"/>
        <v>6461.7</v>
      </c>
      <c r="F81" s="3">
        <f t="shared" si="19"/>
        <v>6915.3</v>
      </c>
      <c r="G81" s="3">
        <f t="shared" si="19"/>
        <v>10668.839999999998</v>
      </c>
      <c r="H81" s="3">
        <f t="shared" si="19"/>
        <v>10668.839999999998</v>
      </c>
      <c r="I81" s="3">
        <f t="shared" si="19"/>
        <v>14289.868199999999</v>
      </c>
      <c r="J81" s="3">
        <f t="shared" si="19"/>
        <v>12797.368199999999</v>
      </c>
    </row>
    <row r="82" spans="1:10" ht="12.75">
      <c r="A82" s="32" t="s">
        <v>44</v>
      </c>
      <c r="B82" s="32"/>
      <c r="C82" s="33">
        <f>C80-C81</f>
        <v>28262.5</v>
      </c>
      <c r="D82" s="33">
        <f aca="true" t="shared" si="20" ref="D82:J82">D80-D81</f>
        <v>36616.3</v>
      </c>
      <c r="E82" s="33">
        <f t="shared" si="20"/>
        <v>36616.3</v>
      </c>
      <c r="F82" s="33">
        <f t="shared" si="20"/>
        <v>39186.7</v>
      </c>
      <c r="G82" s="33">
        <f t="shared" si="20"/>
        <v>60456.759999999995</v>
      </c>
      <c r="H82" s="33">
        <f t="shared" si="20"/>
        <v>60456.759999999995</v>
      </c>
      <c r="I82" s="33">
        <f t="shared" si="20"/>
        <v>80975.9198</v>
      </c>
      <c r="J82" s="33">
        <f t="shared" si="20"/>
        <v>72518.4198</v>
      </c>
    </row>
    <row r="84" spans="1:10" ht="12.75">
      <c r="A84" s="2" t="str">
        <f>A66</f>
        <v>Depreciacion</v>
      </c>
      <c r="B84" s="2"/>
      <c r="C84" s="2"/>
      <c r="D84" s="2"/>
      <c r="E84" s="2"/>
      <c r="F84" s="2"/>
      <c r="G84" s="2"/>
      <c r="H84" s="2"/>
      <c r="I84" s="2"/>
      <c r="J84" s="2"/>
    </row>
    <row r="85" spans="1:19" ht="12.75">
      <c r="A85" s="34" t="str">
        <f>A67</f>
        <v>Infraestructura</v>
      </c>
      <c r="B85" s="2"/>
      <c r="C85" s="3">
        <f>-C67</f>
        <v>1750</v>
      </c>
      <c r="D85" s="3">
        <f aca="true" t="shared" si="21" ref="D85:J85">-D67</f>
        <v>1750</v>
      </c>
      <c r="E85" s="3">
        <f t="shared" si="21"/>
        <v>1750</v>
      </c>
      <c r="F85" s="3">
        <f t="shared" si="21"/>
        <v>1750</v>
      </c>
      <c r="G85" s="3">
        <f t="shared" si="21"/>
        <v>1750</v>
      </c>
      <c r="H85" s="3">
        <f t="shared" si="21"/>
        <v>1750</v>
      </c>
      <c r="I85" s="3">
        <f t="shared" si="21"/>
        <v>1750</v>
      </c>
      <c r="J85" s="3">
        <f t="shared" si="21"/>
        <v>1750</v>
      </c>
      <c r="K85" s="1"/>
      <c r="L85" s="1"/>
      <c r="M85" s="1"/>
      <c r="N85" s="1"/>
      <c r="O85" s="1"/>
      <c r="P85" s="1"/>
      <c r="Q85" s="1"/>
      <c r="R85" s="1"/>
      <c r="S85" s="1"/>
    </row>
    <row r="86" spans="1:19" ht="12.75">
      <c r="A86" s="34" t="str">
        <f>A68</f>
        <v>Maquinarias</v>
      </c>
      <c r="B86" s="2"/>
      <c r="C86" s="3">
        <f aca="true" t="shared" si="22" ref="C86:J87">-C68</f>
        <v>1600</v>
      </c>
      <c r="D86" s="3">
        <f t="shared" si="22"/>
        <v>1600</v>
      </c>
      <c r="E86" s="3">
        <f t="shared" si="22"/>
        <v>1600</v>
      </c>
      <c r="F86" s="3">
        <f t="shared" si="22"/>
        <v>1600</v>
      </c>
      <c r="G86" s="3">
        <f t="shared" si="22"/>
        <v>1600</v>
      </c>
      <c r="H86" s="3">
        <f t="shared" si="22"/>
        <v>1600</v>
      </c>
      <c r="I86" s="3">
        <f t="shared" si="22"/>
        <v>1600</v>
      </c>
      <c r="J86" s="3">
        <f t="shared" si="22"/>
        <v>1600</v>
      </c>
      <c r="K86" s="1"/>
      <c r="L86" s="1"/>
      <c r="M86" s="1"/>
      <c r="N86" s="1"/>
      <c r="O86" s="1"/>
      <c r="P86" s="1"/>
      <c r="Q86" s="1"/>
      <c r="R86" s="1"/>
      <c r="S86" s="1"/>
    </row>
    <row r="87" spans="1:19" ht="12.75">
      <c r="A87" s="34" t="str">
        <f>A69</f>
        <v>Maquinarias Nueva</v>
      </c>
      <c r="B87" s="2"/>
      <c r="C87" s="3">
        <f t="shared" si="22"/>
        <v>0</v>
      </c>
      <c r="D87" s="3">
        <f t="shared" si="22"/>
        <v>0</v>
      </c>
      <c r="E87" s="3">
        <f t="shared" si="22"/>
        <v>0</v>
      </c>
      <c r="F87" s="3">
        <f t="shared" si="22"/>
        <v>0</v>
      </c>
      <c r="G87" s="3">
        <f t="shared" si="22"/>
        <v>0</v>
      </c>
      <c r="H87" s="3">
        <f t="shared" si="22"/>
        <v>0</v>
      </c>
      <c r="I87" s="3">
        <f t="shared" si="22"/>
        <v>800</v>
      </c>
      <c r="J87" s="3">
        <f t="shared" si="22"/>
        <v>800</v>
      </c>
      <c r="K87" s="1"/>
      <c r="L87" s="1"/>
      <c r="M87" s="1"/>
      <c r="N87" s="1"/>
      <c r="O87" s="1"/>
      <c r="P87" s="1"/>
      <c r="Q87" s="1"/>
      <c r="R87" s="1"/>
      <c r="S87" s="1"/>
    </row>
    <row r="88" spans="1:19" ht="12.75">
      <c r="A88" s="31" t="str">
        <f>A72</f>
        <v>Valor Libros Infraestructura</v>
      </c>
      <c r="B88" s="30"/>
      <c r="C88" s="35"/>
      <c r="D88" s="35"/>
      <c r="E88" s="35"/>
      <c r="F88" s="35"/>
      <c r="G88" s="35"/>
      <c r="H88" s="35"/>
      <c r="I88" s="35"/>
      <c r="J88" s="35">
        <f>-J72</f>
        <v>21000</v>
      </c>
      <c r="K88" s="1"/>
      <c r="L88" s="1"/>
      <c r="M88" s="1"/>
      <c r="N88" s="1"/>
      <c r="O88" s="1"/>
      <c r="P88" s="1"/>
      <c r="Q88" s="1"/>
      <c r="R88" s="1"/>
      <c r="S88" s="1"/>
    </row>
    <row r="89" spans="1:19" ht="12.75">
      <c r="A89" s="31" t="str">
        <f>A74</f>
        <v>Valor Libros Maquin Antigua</v>
      </c>
      <c r="B89" s="30"/>
      <c r="C89" s="35"/>
      <c r="D89" s="35"/>
      <c r="E89" s="35"/>
      <c r="F89" s="35"/>
      <c r="G89" s="35"/>
      <c r="H89" s="35"/>
      <c r="I89" s="35"/>
      <c r="J89" s="35">
        <f>-J74</f>
        <v>3200</v>
      </c>
      <c r="K89" s="1"/>
      <c r="L89" s="1"/>
      <c r="M89" s="1"/>
      <c r="N89" s="1"/>
      <c r="O89" s="1"/>
      <c r="P89" s="1"/>
      <c r="Q89" s="1"/>
      <c r="R89" s="1"/>
      <c r="S89" s="1"/>
    </row>
    <row r="90" spans="1:19" ht="12.75">
      <c r="A90" s="31" t="str">
        <f>A76</f>
        <v>Valor Libros Maquin Nueva</v>
      </c>
      <c r="B90" s="30"/>
      <c r="C90" s="35"/>
      <c r="D90" s="35"/>
      <c r="E90" s="35"/>
      <c r="F90" s="35"/>
      <c r="G90" s="35"/>
      <c r="H90" s="35"/>
      <c r="I90" s="35"/>
      <c r="J90" s="35">
        <f>-J76</f>
        <v>6400</v>
      </c>
      <c r="K90" s="1"/>
      <c r="L90" s="1"/>
      <c r="M90" s="1"/>
      <c r="N90" s="1"/>
      <c r="O90" s="1"/>
      <c r="P90" s="1"/>
      <c r="Q90" s="1"/>
      <c r="R90" s="1"/>
      <c r="S90" s="1"/>
    </row>
    <row r="91" spans="1:19" ht="12.75">
      <c r="A91" s="31" t="str">
        <f>A78</f>
        <v>VL terreno</v>
      </c>
      <c r="B91" s="30"/>
      <c r="C91" s="35"/>
      <c r="D91" s="35"/>
      <c r="E91" s="35"/>
      <c r="F91" s="35"/>
      <c r="G91" s="35"/>
      <c r="H91" s="35"/>
      <c r="I91" s="35"/>
      <c r="J91" s="35">
        <f>J77</f>
        <v>5000</v>
      </c>
      <c r="K91" s="1"/>
      <c r="L91" s="1"/>
      <c r="M91" s="1"/>
      <c r="N91" s="1"/>
      <c r="O91" s="1"/>
      <c r="P91" s="1"/>
      <c r="Q91" s="1"/>
      <c r="R91" s="1"/>
      <c r="S91" s="1"/>
    </row>
    <row r="92" spans="1:19" ht="12.75">
      <c r="A92" s="2" t="s">
        <v>45</v>
      </c>
      <c r="B92" s="7">
        <f>-B52</f>
        <v>-5000</v>
      </c>
      <c r="C92" s="3"/>
      <c r="D92" s="3"/>
      <c r="E92" s="3"/>
      <c r="F92" s="3"/>
      <c r="G92" s="3"/>
      <c r="H92" s="3"/>
      <c r="I92" s="3"/>
      <c r="J92" s="3"/>
      <c r="K92" s="1"/>
      <c r="L92" s="1"/>
      <c r="M92" s="1"/>
      <c r="N92" s="1"/>
      <c r="O92" s="1"/>
      <c r="P92" s="1"/>
      <c r="Q92" s="1"/>
      <c r="R92" s="1"/>
      <c r="S92" s="1"/>
    </row>
    <row r="93" spans="1:19" ht="12.75">
      <c r="A93" s="2" t="s">
        <v>46</v>
      </c>
      <c r="B93" s="7">
        <f>-B36</f>
        <v>-35000</v>
      </c>
      <c r="C93" s="3"/>
      <c r="D93" s="3"/>
      <c r="E93" s="3"/>
      <c r="F93" s="3"/>
      <c r="G93" s="3"/>
      <c r="H93" s="3"/>
      <c r="I93" s="3"/>
      <c r="J93" s="3"/>
      <c r="K93" s="1"/>
      <c r="L93" s="1"/>
      <c r="M93" s="1"/>
      <c r="N93" s="1"/>
      <c r="O93" s="1"/>
      <c r="P93" s="1"/>
      <c r="Q93" s="1"/>
      <c r="R93" s="1"/>
      <c r="S93" s="1"/>
    </row>
    <row r="94" spans="1:19" ht="12.75">
      <c r="A94" s="2" t="s">
        <v>47</v>
      </c>
      <c r="B94" s="7">
        <f>-B38</f>
        <v>-16000</v>
      </c>
      <c r="C94" s="3"/>
      <c r="D94" s="3"/>
      <c r="E94" s="3"/>
      <c r="F94" s="3"/>
      <c r="G94" s="3"/>
      <c r="H94" s="3"/>
      <c r="I94" s="3"/>
      <c r="J94" s="3"/>
      <c r="K94" s="1"/>
      <c r="L94" s="1"/>
      <c r="M94" s="1"/>
      <c r="N94" s="1"/>
      <c r="O94" s="1"/>
      <c r="P94" s="1"/>
      <c r="Q94" s="1"/>
      <c r="R94" s="1"/>
      <c r="S94" s="1"/>
    </row>
    <row r="95" spans="1:19" ht="12.75">
      <c r="A95" s="2" t="s">
        <v>48</v>
      </c>
      <c r="B95" s="7"/>
      <c r="C95" s="3"/>
      <c r="D95" s="3"/>
      <c r="E95" s="3"/>
      <c r="F95" s="3"/>
      <c r="G95" s="3"/>
      <c r="H95" s="3">
        <f>-B39</f>
        <v>-8000</v>
      </c>
      <c r="I95" s="3"/>
      <c r="J95" s="3"/>
      <c r="K95" s="1"/>
      <c r="L95" s="1"/>
      <c r="M95" s="1"/>
      <c r="N95" s="1"/>
      <c r="O95" s="1"/>
      <c r="P95" s="1"/>
      <c r="Q95" s="1"/>
      <c r="R95" s="1"/>
      <c r="S95" s="1"/>
    </row>
    <row r="96" spans="1:19" ht="12.75">
      <c r="A96" s="2" t="s">
        <v>49</v>
      </c>
      <c r="B96" s="3">
        <f>C62*3/12</f>
        <v>-19766.25</v>
      </c>
      <c r="C96" s="3">
        <f>(D62*3/12)-B96</f>
        <v>3953.25</v>
      </c>
      <c r="D96" s="3"/>
      <c r="E96" s="3"/>
      <c r="F96" s="3">
        <f>G62*3/12-C96-B96</f>
        <v>-4743.9000000000015</v>
      </c>
      <c r="G96" s="3"/>
      <c r="H96" s="3">
        <f>I62*3/12-F96-C96-B96</f>
        <v>-4728.086999999992</v>
      </c>
      <c r="I96" s="3"/>
      <c r="J96" s="3"/>
      <c r="K96" s="1"/>
      <c r="L96" s="1"/>
      <c r="M96" s="1"/>
      <c r="N96" s="1"/>
      <c r="O96" s="1"/>
      <c r="P96" s="1"/>
      <c r="Q96" s="1"/>
      <c r="R96" s="1"/>
      <c r="S96" s="1"/>
    </row>
    <row r="97" spans="1:19" ht="12.75">
      <c r="A97" s="2" t="s">
        <v>50</v>
      </c>
      <c r="B97" s="2"/>
      <c r="C97" s="3"/>
      <c r="D97" s="3"/>
      <c r="E97" s="3"/>
      <c r="F97" s="3"/>
      <c r="G97" s="3"/>
      <c r="H97" s="3"/>
      <c r="I97" s="3"/>
      <c r="J97" s="3">
        <f>-(B96+C96+F96+H96)</f>
        <v>25284.986999999994</v>
      </c>
      <c r="K97" s="1"/>
      <c r="L97" s="1"/>
      <c r="M97" s="1"/>
      <c r="N97" s="1"/>
      <c r="O97" s="1"/>
      <c r="P97" s="1"/>
      <c r="Q97" s="1"/>
      <c r="R97" s="1"/>
      <c r="S97" s="1"/>
    </row>
    <row r="98" spans="1:19" ht="12.75">
      <c r="A98" s="2"/>
      <c r="B98" s="7"/>
      <c r="C98" s="3"/>
      <c r="D98" s="3"/>
      <c r="E98" s="3"/>
      <c r="F98" s="3"/>
      <c r="G98" s="3"/>
      <c r="H98" s="3"/>
      <c r="I98" s="3"/>
      <c r="J98" s="2"/>
      <c r="K98" s="1"/>
      <c r="L98" s="1"/>
      <c r="M98" s="1"/>
      <c r="N98" s="1"/>
      <c r="O98" s="1"/>
      <c r="P98" s="1"/>
      <c r="Q98" s="1"/>
      <c r="R98" s="1"/>
      <c r="S98" s="1"/>
    </row>
    <row r="99" spans="1:19" ht="12.75">
      <c r="A99" s="32" t="s">
        <v>51</v>
      </c>
      <c r="B99" s="36">
        <f>SUM(B82:B98)</f>
        <v>-75766.25</v>
      </c>
      <c r="C99" s="36">
        <f aca="true" t="shared" si="23" ref="C99:J99">SUM(C82:C98)</f>
        <v>35565.75</v>
      </c>
      <c r="D99" s="36">
        <f t="shared" si="23"/>
        <v>39966.3</v>
      </c>
      <c r="E99" s="36">
        <f t="shared" si="23"/>
        <v>39966.3</v>
      </c>
      <c r="F99" s="36">
        <f t="shared" si="23"/>
        <v>37792.799999999996</v>
      </c>
      <c r="G99" s="36">
        <f t="shared" si="23"/>
        <v>63806.759999999995</v>
      </c>
      <c r="H99" s="36">
        <f t="shared" si="23"/>
        <v>51078.673</v>
      </c>
      <c r="I99" s="36">
        <f t="shared" si="23"/>
        <v>85125.9198</v>
      </c>
      <c r="J99" s="36">
        <f>SUM(J82:J97)</f>
        <v>137553.4068</v>
      </c>
      <c r="K99" s="1"/>
      <c r="L99" s="1"/>
      <c r="M99" s="1"/>
      <c r="N99" s="1"/>
      <c r="O99" s="1"/>
      <c r="P99" s="1"/>
      <c r="Q99" s="1"/>
      <c r="R99" s="1"/>
      <c r="S99" s="1"/>
    </row>
    <row r="100" spans="3:19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3:19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2.75">
      <c r="A102" t="s">
        <v>52</v>
      </c>
      <c r="B102" s="14">
        <v>0.12</v>
      </c>
      <c r="C102" s="1">
        <f>NPV(B102,C99:J99)+B99</f>
        <v>196460.87570359762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2.75">
      <c r="A103" t="s">
        <v>53</v>
      </c>
      <c r="C103" s="37">
        <f>IRR(B99:J99)</f>
        <v>0.54999498975804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</sheetData>
  <mergeCells count="2">
    <mergeCell ref="A28:B28"/>
    <mergeCell ref="A31:B31"/>
  </mergeCells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Victor Leon</dc:creator>
  <cp:keywords/>
  <dc:description/>
  <cp:lastModifiedBy> Victor Leon</cp:lastModifiedBy>
  <dcterms:created xsi:type="dcterms:W3CDTF">2005-06-27T12:29:45Z</dcterms:created>
  <dcterms:modified xsi:type="dcterms:W3CDTF">2005-06-27T15:01:14Z</dcterms:modified>
  <cp:category/>
  <cp:version/>
  <cp:contentType/>
  <cp:contentStatus/>
</cp:coreProperties>
</file>